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ые проекты\НАЛОГИ - МАРТ 18\НАЛОГИ - 2019\Налоги - 2020 год\НАЛОГИ - ДЕКАБРЬ 20\Конференция - февраль 21\Материалы к вебинару IB - 21\"/>
    </mc:Choice>
  </mc:AlternateContent>
  <xr:revisionPtr revIDLastSave="0" documentId="13_ncr:1_{9718DBFC-E93E-4C53-9E8E-BED0014B9BDB}" xr6:coauthVersionLast="46" xr6:coauthVersionMax="46" xr10:uidLastSave="{00000000-0000-0000-0000-000000000000}"/>
  <bookViews>
    <workbookView xWindow="-108" yWindow="-108" windowWidth="23256" windowHeight="12576" tabRatio="706" xr2:uid="{00000000-000D-0000-FFFF-FFFF00000000}"/>
  </bookViews>
  <sheets>
    <sheet name="Сделки" sheetId="1" r:id="rId1"/>
    <sheet name="Итоги сделок" sheetId="2" r:id="rId2"/>
    <sheet name="Прочие расходы" sheetId="10" r:id="rId3"/>
    <sheet name="Прочие доходы" sheetId="9" r:id="rId4"/>
    <sheet name="Расчет дивидендов" sheetId="6" r:id="rId5"/>
    <sheet name="Корректировка налога дивиденды" sheetId="22" r:id="rId6"/>
  </sheets>
  <calcPr calcId="181029"/>
</workbook>
</file>

<file path=xl/calcChain.xml><?xml version="1.0" encoding="utf-8"?>
<calcChain xmlns="http://schemas.openxmlformats.org/spreadsheetml/2006/main">
  <c r="K9" i="6" l="1"/>
  <c r="J9" i="6"/>
  <c r="I9" i="6"/>
  <c r="G9" i="6"/>
  <c r="F9" i="6"/>
  <c r="G9" i="2"/>
  <c r="G4" i="9"/>
  <c r="J18" i="22"/>
  <c r="I18" i="22"/>
  <c r="K18" i="22" s="1"/>
  <c r="J6" i="22"/>
  <c r="I6" i="22"/>
  <c r="K6" i="22" s="1"/>
  <c r="L6" i="22" s="1"/>
  <c r="J5" i="22"/>
  <c r="I5" i="22"/>
  <c r="K5" i="22" s="1"/>
  <c r="J4" i="22"/>
  <c r="I4" i="22"/>
  <c r="L18" i="22" l="1"/>
  <c r="L5" i="22"/>
  <c r="K4" i="22"/>
  <c r="L4" i="22" l="1"/>
  <c r="F7" i="2"/>
  <c r="H5" i="9"/>
  <c r="G5" i="9"/>
  <c r="J8" i="1"/>
  <c r="J7" i="1"/>
  <c r="J6" i="1"/>
  <c r="J5" i="1"/>
  <c r="I5" i="1"/>
  <c r="J3" i="1"/>
  <c r="I3" i="1"/>
  <c r="F4" i="1"/>
  <c r="F5" i="1"/>
  <c r="F9" i="1"/>
  <c r="F12" i="1"/>
  <c r="I12" i="1" s="1"/>
  <c r="F10" i="1"/>
  <c r="B6" i="2"/>
  <c r="B5" i="2"/>
  <c r="B4" i="2"/>
  <c r="G3" i="9"/>
  <c r="H3" i="9" s="1"/>
  <c r="G14" i="10"/>
  <c r="G13" i="10"/>
  <c r="G8" i="10"/>
  <c r="J4" i="1"/>
  <c r="J9" i="1"/>
  <c r="J11" i="1"/>
  <c r="J12" i="1"/>
  <c r="F3" i="1"/>
  <c r="F6" i="1"/>
  <c r="F7" i="1"/>
  <c r="F8" i="1"/>
  <c r="F11" i="1"/>
  <c r="C4" i="2" l="1"/>
  <c r="I7" i="1"/>
  <c r="I4" i="1"/>
  <c r="I10" i="1"/>
  <c r="C5" i="2" s="1"/>
  <c r="I11" i="1"/>
  <c r="D6" i="2" s="1"/>
  <c r="I8" i="1"/>
  <c r="I6" i="1"/>
  <c r="D5" i="2" s="1"/>
  <c r="C6" i="2"/>
  <c r="I9" i="1"/>
  <c r="J10" i="1"/>
  <c r="G9" i="10"/>
  <c r="G15" i="10" s="1"/>
  <c r="E4" i="2" s="1"/>
  <c r="G10" i="10"/>
  <c r="G11" i="10"/>
  <c r="G12" i="10"/>
  <c r="D4" i="2" l="1"/>
  <c r="D7" i="2" s="1"/>
  <c r="E7" i="2" s="1"/>
  <c r="F4" i="2"/>
  <c r="F6" i="2"/>
  <c r="F5" i="2"/>
  <c r="C7" i="2" l="1"/>
  <c r="E4" i="10" l="1"/>
  <c r="H4" i="9" l="1"/>
  <c r="G2" i="9"/>
  <c r="H2" i="9" l="1"/>
  <c r="J5" i="6"/>
  <c r="I6" i="6"/>
  <c r="K6" i="6" s="1"/>
  <c r="J7" i="6"/>
  <c r="J8" i="6"/>
  <c r="I4" i="6"/>
  <c r="K4" i="6" l="1"/>
  <c r="J6" i="6"/>
  <c r="L6" i="6" s="1"/>
  <c r="I5" i="6"/>
  <c r="I7" i="6"/>
  <c r="K7" i="6" s="1"/>
  <c r="L7" i="6" s="1"/>
  <c r="I8" i="6"/>
  <c r="K8" i="6" s="1"/>
  <c r="L8" i="6" s="1"/>
  <c r="J4" i="6"/>
  <c r="L9" i="6" l="1"/>
  <c r="K5" i="6"/>
  <c r="L5" i="6" s="1"/>
  <c r="L4" i="6"/>
</calcChain>
</file>

<file path=xl/sharedStrings.xml><?xml version="1.0" encoding="utf-8"?>
<sst xmlns="http://schemas.openxmlformats.org/spreadsheetml/2006/main" count="164" uniqueCount="78">
  <si>
    <t>расходы общая сумма, руб.</t>
  </si>
  <si>
    <t xml:space="preserve"> доход от продажи, руб.</t>
  </si>
  <si>
    <t>USD</t>
  </si>
  <si>
    <t>Прибыль/убыток от сделок</t>
  </si>
  <si>
    <t>Сумма</t>
  </si>
  <si>
    <t>Наименование инвестиционного фонда</t>
  </si>
  <si>
    <t>Дата поступления дивидендов</t>
  </si>
  <si>
    <t>Сумма поступивших дивидендов</t>
  </si>
  <si>
    <t>Налог, удержанный зарубежным брокером</t>
  </si>
  <si>
    <t>Курс ЦБ РФ на дату получения дивидендов</t>
  </si>
  <si>
    <t>Сумма дивидендов в руб.</t>
  </si>
  <si>
    <t>Налог уплаченный в руб.</t>
  </si>
  <si>
    <t>НДФЛ 13%</t>
  </si>
  <si>
    <t>Нужно доплатить НДФЛ</t>
  </si>
  <si>
    <t>брокер Interactive Brokers</t>
  </si>
  <si>
    <t>ИТОГО:</t>
  </si>
  <si>
    <t>выплата  за пользование средствами или бумагами</t>
  </si>
  <si>
    <t>Дата выплаты</t>
  </si>
  <si>
    <t>Тип дохода</t>
  </si>
  <si>
    <t>Валюта</t>
  </si>
  <si>
    <t>Курс валюты</t>
  </si>
  <si>
    <t>Тип расхода</t>
  </si>
  <si>
    <t>Итого:</t>
  </si>
  <si>
    <t>Сумма дохода в рублях</t>
  </si>
  <si>
    <t>Тиккер бумаги</t>
  </si>
  <si>
    <t>Дата сделки</t>
  </si>
  <si>
    <t>Кол-во бумаг</t>
  </si>
  <si>
    <t>Стоимость бумаги</t>
  </si>
  <si>
    <t>прочие брокерские комиссии</t>
  </si>
  <si>
    <t>Сумма сделки в валюте</t>
  </si>
  <si>
    <t>Сумма сделки в руб.</t>
  </si>
  <si>
    <t>Комиссия в руб.</t>
  </si>
  <si>
    <t>Комиссия в валюте</t>
  </si>
  <si>
    <t>Сделки с ценными бумагами</t>
  </si>
  <si>
    <t>PFF</t>
  </si>
  <si>
    <t>VPL</t>
  </si>
  <si>
    <t>Плата за вывод средств</t>
  </si>
  <si>
    <t>руб.</t>
  </si>
  <si>
    <t xml:space="preserve">Дата </t>
  </si>
  <si>
    <t>US4642886877</t>
  </si>
  <si>
    <t>iShares Preferred and Income Securities ETF</t>
  </si>
  <si>
    <t>Сумма расходов в руб.</t>
  </si>
  <si>
    <t>Дата</t>
  </si>
  <si>
    <t>Операция</t>
  </si>
  <si>
    <t>EMHY</t>
  </si>
  <si>
    <t>iShares J.P. Morgan EM High Yield Bond ETF</t>
  </si>
  <si>
    <t>US4642862852</t>
  </si>
  <si>
    <t>EMB</t>
  </si>
  <si>
    <t>SRET</t>
  </si>
  <si>
    <t>US37950E1275</t>
  </si>
  <si>
    <t>Global X SuperDividend REIT ETF</t>
  </si>
  <si>
    <t>IBDM</t>
  </si>
  <si>
    <t>BNDW</t>
  </si>
  <si>
    <t>US92206C5655</t>
  </si>
  <si>
    <t>US46434VBK52</t>
  </si>
  <si>
    <t>iShares iBonds Dec 2021 Term Corporate ETF</t>
  </si>
  <si>
    <t>Vanguard Total World Bond ETF</t>
  </si>
  <si>
    <t>Брокерская комиссия за ведение счета</t>
  </si>
  <si>
    <t>VGK</t>
  </si>
  <si>
    <t xml:space="preserve">Биржевой тиккер </t>
  </si>
  <si>
    <t xml:space="preserve">ISIN-код </t>
  </si>
  <si>
    <t>Наименование ценной бумаги</t>
  </si>
  <si>
    <t>Биржевой тиккер инвестиционного фонда (ISIN-код фонда)</t>
  </si>
  <si>
    <t>Налог, удержанный за рубежом</t>
  </si>
  <si>
    <t>AGG(US4642872265)</t>
  </si>
  <si>
    <t>iShares Core US Aggregate Bond ETF</t>
  </si>
  <si>
    <t>AGG(US4642872265) *</t>
  </si>
  <si>
    <t>Наименование дохода</t>
  </si>
  <si>
    <t xml:space="preserve">Дата поступления </t>
  </si>
  <si>
    <t>Сумма поступившего дохода</t>
  </si>
  <si>
    <t>Сумма  в руб.</t>
  </si>
  <si>
    <t>корректировка налога на дивиденды, удержанного  в 2019 г.</t>
  </si>
  <si>
    <t>*Корректировка удержанного налога на дивиденды за 2020 г. в 2021 г.</t>
  </si>
  <si>
    <t>Налог, уплаченный за рубежом изначально (по отчету за 2020 г.)</t>
  </si>
  <si>
    <t>Налог, уплаченный за рубежом в 2020 г.  после корректировки, отраженной в отчете за 2021 г.</t>
  </si>
  <si>
    <t xml:space="preserve">AGG(US4642872265) </t>
  </si>
  <si>
    <t>вариант 1</t>
  </si>
  <si>
    <t>вариант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</si>
</sst>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</font>
    <font>
      <sz val="11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1.5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0070C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8" fillId="0" borderId="0"/>
    <xf numFmtId="0" fontId="2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9" fillId="0" borderId="1" xfId="3" applyFont="1" applyBorder="1" applyAlignment="1">
      <alignment horizontal="center" vertical="center" wrapText="1"/>
    </xf>
    <xf numFmtId="0" fontId="8" fillId="0" borderId="0" xfId="3"/>
    <xf numFmtId="0" fontId="8" fillId="0" borderId="1" xfId="3" applyBorder="1" applyAlignment="1">
      <alignment horizontal="center" vertical="center" wrapText="1"/>
    </xf>
    <xf numFmtId="0" fontId="8" fillId="0" borderId="1" xfId="3" applyBorder="1" applyAlignment="1">
      <alignment horizontal="center"/>
    </xf>
    <xf numFmtId="4" fontId="8" fillId="0" borderId="1" xfId="3" applyNumberFormat="1" applyBorder="1" applyAlignment="1">
      <alignment horizontal="center"/>
    </xf>
    <xf numFmtId="0" fontId="8" fillId="2" borderId="0" xfId="3" applyFill="1"/>
    <xf numFmtId="0" fontId="0" fillId="0" borderId="1" xfId="0" applyBorder="1"/>
    <xf numFmtId="0" fontId="7" fillId="0" borderId="1" xfId="3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9" fillId="0" borderId="1" xfId="3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top" wrapText="1"/>
    </xf>
    <xf numFmtId="0" fontId="0" fillId="0" borderId="2" xfId="0" applyBorder="1"/>
    <xf numFmtId="0" fontId="10" fillId="0" borderId="1" xfId="0" applyFont="1" applyBorder="1"/>
    <xf numFmtId="2" fontId="0" fillId="0" borderId="1" xfId="0" applyNumberFormat="1" applyBorder="1"/>
    <xf numFmtId="2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4" fontId="7" fillId="3" borderId="1" xfId="3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4" fontId="12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0" fillId="0" borderId="0" xfId="0" applyNumberFormat="1" applyFont="1"/>
    <xf numFmtId="14" fontId="8" fillId="0" borderId="0" xfId="3" applyNumberFormat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14" fontId="15" fillId="0" borderId="1" xfId="1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4" fillId="0" borderId="0" xfId="0" applyFont="1" applyFill="1"/>
    <xf numFmtId="0" fontId="11" fillId="0" borderId="1" xfId="0" applyFont="1" applyFill="1" applyBorder="1" applyAlignment="1">
      <alignment wrapText="1"/>
    </xf>
    <xf numFmtId="0" fontId="3" fillId="0" borderId="0" xfId="0" applyFont="1" applyFill="1"/>
    <xf numFmtId="0" fontId="16" fillId="0" borderId="1" xfId="3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top" wrapText="1"/>
    </xf>
    <xf numFmtId="14" fontId="14" fillId="0" borderId="1" xfId="1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4" borderId="1" xfId="1" applyFont="1" applyFill="1" applyBorder="1" applyAlignment="1">
      <alignment horizontal="left" vertical="top" wrapText="1"/>
    </xf>
    <xf numFmtId="14" fontId="14" fillId="4" borderId="1" xfId="1" applyNumberFormat="1" applyFont="1" applyFill="1" applyBorder="1" applyAlignment="1">
      <alignment horizontal="left" vertical="top" wrapText="1"/>
    </xf>
    <xf numFmtId="0" fontId="16" fillId="4" borderId="1" xfId="3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top" wrapText="1"/>
    </xf>
    <xf numFmtId="14" fontId="14" fillId="4" borderId="1" xfId="0" applyNumberFormat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4" fontId="6" fillId="0" borderId="1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2" fillId="0" borderId="0" xfId="0" applyFont="1" applyAlignment="1">
      <alignment horizontal="center"/>
    </xf>
    <xf numFmtId="14" fontId="8" fillId="0" borderId="1" xfId="3" applyNumberFormat="1" applyBorder="1" applyAlignment="1">
      <alignment horizontal="center"/>
    </xf>
    <xf numFmtId="2" fontId="8" fillId="0" borderId="1" xfId="3" applyNumberFormat="1" applyBorder="1" applyAlignment="1">
      <alignment horizontal="center"/>
    </xf>
    <xf numFmtId="2" fontId="18" fillId="0" borderId="1" xfId="3" applyNumberFormat="1" applyFont="1" applyBorder="1" applyAlignment="1">
      <alignment horizontal="center"/>
    </xf>
    <xf numFmtId="4" fontId="7" fillId="0" borderId="0" xfId="3" applyNumberFormat="1" applyFont="1"/>
    <xf numFmtId="4" fontId="19" fillId="0" borderId="0" xfId="3" applyNumberFormat="1" applyFont="1" applyAlignment="1">
      <alignment horizontal="center"/>
    </xf>
    <xf numFmtId="4" fontId="8" fillId="0" borderId="0" xfId="3" applyNumberFormat="1"/>
    <xf numFmtId="0" fontId="20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BD791F78-5492-47C0-BCCB-0E3CD951BBA8}"/>
    <cellStyle name="Обычный 3" xfId="2" xr:uid="{8EBFC1ED-C897-41E9-8A79-90C58E820F71}"/>
    <cellStyle name="Обычный 4" xfId="3" xr:uid="{D217D630-446D-4480-9FA1-50C3B2EA2A99}"/>
    <cellStyle name="Обычный 5" xfId="4" xr:uid="{ACCFFD0B-D826-453C-9BA7-C9A980E8D7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zoomScale="160" zoomScaleNormal="160" workbookViewId="0">
      <selection activeCell="A2" sqref="A2:J5"/>
    </sheetView>
  </sheetViews>
  <sheetFormatPr defaultRowHeight="13.2" x14ac:dyDescent="0.25"/>
  <cols>
    <col min="1" max="1" width="8.6640625" style="64" customWidth="1"/>
    <col min="2" max="2" width="7.109375" style="66" customWidth="1"/>
    <col min="3" max="3" width="11.21875" style="2" customWidth="1"/>
    <col min="4" max="4" width="9.33203125" style="2" customWidth="1"/>
    <col min="5" max="5" width="10" style="2" customWidth="1"/>
    <col min="6" max="6" width="8.88671875" style="2"/>
    <col min="7" max="7" width="12" style="2"/>
    <col min="8" max="8" width="10.44140625" style="2" customWidth="1"/>
    <col min="9" max="9" width="12" style="44" customWidth="1"/>
    <col min="10" max="10" width="9" customWidth="1"/>
    <col min="11" max="46" width="8.88671875" style="2"/>
  </cols>
  <sheetData>
    <row r="1" spans="1:46" x14ac:dyDescent="0.25">
      <c r="A1" s="64" t="s">
        <v>33</v>
      </c>
    </row>
    <row r="2" spans="1:46" s="34" customFormat="1" ht="36" x14ac:dyDescent="0.25">
      <c r="A2" s="65" t="s">
        <v>24</v>
      </c>
      <c r="B2" s="35" t="s">
        <v>19</v>
      </c>
      <c r="C2" s="35" t="s">
        <v>25</v>
      </c>
      <c r="D2" s="35" t="s">
        <v>26</v>
      </c>
      <c r="E2" s="35" t="s">
        <v>27</v>
      </c>
      <c r="F2" s="35" t="s">
        <v>29</v>
      </c>
      <c r="G2" s="35" t="s">
        <v>32</v>
      </c>
      <c r="H2" s="35" t="s">
        <v>20</v>
      </c>
      <c r="I2" s="45" t="s">
        <v>30</v>
      </c>
      <c r="J2" s="36" t="s">
        <v>31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x14ac:dyDescent="0.25">
      <c r="A3" s="68" t="s">
        <v>47</v>
      </c>
      <c r="B3" s="37" t="s">
        <v>2</v>
      </c>
      <c r="C3" s="69">
        <v>43000</v>
      </c>
      <c r="D3" s="67">
        <v>18</v>
      </c>
      <c r="E3" s="67">
        <v>100.4555556</v>
      </c>
      <c r="F3" s="38">
        <f t="shared" ref="F3:F11" si="0">-ROUND(E3*D3,2)</f>
        <v>-1808.2</v>
      </c>
      <c r="G3" s="67"/>
      <c r="H3" s="39">
        <v>58.224200000000003</v>
      </c>
      <c r="I3" s="46">
        <f>F3*$H3</f>
        <v>-105280.99844000001</v>
      </c>
      <c r="J3" s="40">
        <f>G3*$H3</f>
        <v>0</v>
      </c>
    </row>
    <row r="4" spans="1:46" x14ac:dyDescent="0.25">
      <c r="A4" s="68" t="s">
        <v>47</v>
      </c>
      <c r="B4" s="37" t="s">
        <v>2</v>
      </c>
      <c r="C4" s="69">
        <v>43003</v>
      </c>
      <c r="D4" s="67">
        <v>22</v>
      </c>
      <c r="E4" s="67">
        <v>98.245454499999994</v>
      </c>
      <c r="F4" s="38">
        <f>-ROUND(E4*D4,2)</f>
        <v>-2161.4</v>
      </c>
      <c r="G4" s="67"/>
      <c r="H4" s="39">
        <v>57.652700000000003</v>
      </c>
      <c r="I4" s="46">
        <f t="shared" ref="I4:I11" si="1">F4*$H4</f>
        <v>-124610.54578000001</v>
      </c>
      <c r="J4" s="40">
        <f t="shared" ref="J4:J12" si="2">G4*$H4</f>
        <v>0</v>
      </c>
    </row>
    <row r="5" spans="1:46" s="61" customFormat="1" x14ac:dyDescent="0.25">
      <c r="A5" s="72" t="s">
        <v>47</v>
      </c>
      <c r="B5" s="56" t="s">
        <v>2</v>
      </c>
      <c r="C5" s="73">
        <v>43907</v>
      </c>
      <c r="D5" s="74">
        <v>-40</v>
      </c>
      <c r="E5" s="74">
        <v>91.912000000000006</v>
      </c>
      <c r="F5" s="57">
        <f>-ROUND(E5*D5,2)</f>
        <v>3676.48</v>
      </c>
      <c r="G5" s="74">
        <v>-1.08</v>
      </c>
      <c r="H5" s="58">
        <v>74.126199999999997</v>
      </c>
      <c r="I5" s="59">
        <f>F5*$H5</f>
        <v>272523.49177600001</v>
      </c>
      <c r="J5" s="60">
        <f>G5*$H5</f>
        <v>-80.056296000000003</v>
      </c>
    </row>
    <row r="6" spans="1:46" x14ac:dyDescent="0.25">
      <c r="A6" s="70" t="s">
        <v>58</v>
      </c>
      <c r="B6" s="37" t="s">
        <v>2</v>
      </c>
      <c r="C6" s="71">
        <v>43634</v>
      </c>
      <c r="D6" s="67">
        <v>93</v>
      </c>
      <c r="E6" s="67">
        <v>53.946800000000003</v>
      </c>
      <c r="F6" s="38">
        <f t="shared" si="0"/>
        <v>-5017.05</v>
      </c>
      <c r="G6" s="67">
        <v>-1</v>
      </c>
      <c r="H6" s="39">
        <v>64.318700000000007</v>
      </c>
      <c r="I6" s="46">
        <f t="shared" si="1"/>
        <v>-322690.13383500004</v>
      </c>
      <c r="J6" s="40">
        <f>G6*$H6</f>
        <v>-64.318700000000007</v>
      </c>
    </row>
    <row r="7" spans="1:46" x14ac:dyDescent="0.25">
      <c r="A7" s="70" t="s">
        <v>58</v>
      </c>
      <c r="B7" s="37" t="s">
        <v>2</v>
      </c>
      <c r="C7" s="71">
        <v>43657</v>
      </c>
      <c r="D7" s="67">
        <v>28</v>
      </c>
      <c r="E7" s="67">
        <v>54.838000000000001</v>
      </c>
      <c r="F7" s="38">
        <f t="shared" si="0"/>
        <v>-1535.46</v>
      </c>
      <c r="G7" s="67">
        <v>-1</v>
      </c>
      <c r="H7" s="39">
        <v>63.7988</v>
      </c>
      <c r="I7" s="46">
        <f t="shared" si="1"/>
        <v>-97960.505447999996</v>
      </c>
      <c r="J7" s="40">
        <f>G7*$H7</f>
        <v>-63.7988</v>
      </c>
    </row>
    <row r="8" spans="1:46" x14ac:dyDescent="0.25">
      <c r="A8" s="70" t="s">
        <v>58</v>
      </c>
      <c r="B8" s="37" t="s">
        <v>2</v>
      </c>
      <c r="C8" s="71">
        <v>43658</v>
      </c>
      <c r="D8" s="67">
        <v>7</v>
      </c>
      <c r="E8" s="67">
        <v>54.994999999999997</v>
      </c>
      <c r="F8" s="38">
        <f t="shared" si="0"/>
        <v>-384.97</v>
      </c>
      <c r="G8" s="67">
        <v>-1</v>
      </c>
      <c r="H8" s="39">
        <v>62.994399999999999</v>
      </c>
      <c r="I8" s="46">
        <f t="shared" si="1"/>
        <v>-24250.954168</v>
      </c>
      <c r="J8" s="40">
        <f>G8*$H8</f>
        <v>-62.994399999999999</v>
      </c>
    </row>
    <row r="9" spans="1:46" x14ac:dyDescent="0.25">
      <c r="A9" s="70" t="s">
        <v>58</v>
      </c>
      <c r="B9" s="37" t="s">
        <v>2</v>
      </c>
      <c r="C9" s="71">
        <v>43823</v>
      </c>
      <c r="D9" s="67">
        <v>100</v>
      </c>
      <c r="E9" s="67">
        <v>59.88</v>
      </c>
      <c r="F9" s="38">
        <f>-ROUND(E9*D9,2)</f>
        <v>-5988</v>
      </c>
      <c r="G9" s="67">
        <v>-1</v>
      </c>
      <c r="H9" s="39">
        <v>62.249899999999997</v>
      </c>
      <c r="I9" s="46">
        <f t="shared" si="1"/>
        <v>-372752.40119999996</v>
      </c>
      <c r="J9" s="40">
        <f t="shared" si="2"/>
        <v>-62.249899999999997</v>
      </c>
    </row>
    <row r="10" spans="1:46" s="61" customFormat="1" x14ac:dyDescent="0.25">
      <c r="A10" s="75" t="s">
        <v>58</v>
      </c>
      <c r="B10" s="56" t="s">
        <v>2</v>
      </c>
      <c r="C10" s="76">
        <v>44069</v>
      </c>
      <c r="D10" s="74">
        <v>-228</v>
      </c>
      <c r="E10" s="74">
        <v>63.733157900000002</v>
      </c>
      <c r="F10" s="57">
        <f>-ROUND(E10*D10,2)</f>
        <v>14531.16</v>
      </c>
      <c r="G10" s="74">
        <v>-1.49</v>
      </c>
      <c r="H10" s="58">
        <v>74.512600000000006</v>
      </c>
      <c r="I10" s="59">
        <f t="shared" si="1"/>
        <v>1082754.5126160001</v>
      </c>
      <c r="J10" s="60">
        <f t="shared" si="2"/>
        <v>-111.023774</v>
      </c>
    </row>
    <row r="11" spans="1:46" x14ac:dyDescent="0.25">
      <c r="A11" s="70" t="s">
        <v>35</v>
      </c>
      <c r="B11" s="37" t="s">
        <v>2</v>
      </c>
      <c r="C11" s="71">
        <v>43928</v>
      </c>
      <c r="D11" s="67">
        <v>1336</v>
      </c>
      <c r="E11" s="67">
        <v>24.69</v>
      </c>
      <c r="F11" s="38">
        <f t="shared" si="0"/>
        <v>-32985.839999999997</v>
      </c>
      <c r="G11" s="67">
        <v>-6.68</v>
      </c>
      <c r="H11" s="39">
        <v>76.407399999999996</v>
      </c>
      <c r="I11" s="46">
        <f t="shared" si="1"/>
        <v>-2520362.2712159995</v>
      </c>
      <c r="J11" s="40">
        <f t="shared" si="2"/>
        <v>-510.40143199999994</v>
      </c>
    </row>
    <row r="12" spans="1:46" s="61" customFormat="1" x14ac:dyDescent="0.25">
      <c r="A12" s="75" t="s">
        <v>35</v>
      </c>
      <c r="B12" s="56" t="s">
        <v>2</v>
      </c>
      <c r="C12" s="76">
        <v>44061</v>
      </c>
      <c r="D12" s="74">
        <v>-1336</v>
      </c>
      <c r="E12" s="74">
        <v>25.082699999999999</v>
      </c>
      <c r="F12" s="57">
        <f>-ROUND(E12*D12,2)</f>
        <v>33510.49</v>
      </c>
      <c r="G12" s="74">
        <v>-7.58</v>
      </c>
      <c r="H12" s="58">
        <v>72.967600000000004</v>
      </c>
      <c r="I12" s="59">
        <f>F12*$H12</f>
        <v>2445180.0301239998</v>
      </c>
      <c r="J12" s="60">
        <f t="shared" si="2"/>
        <v>-553.09440800000004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5BF8-A29D-4DBC-8FD6-899E3CFB405E}">
  <dimension ref="A3:G13"/>
  <sheetViews>
    <sheetView zoomScale="145" zoomScaleNormal="145" workbookViewId="0">
      <selection activeCell="D10" sqref="D10"/>
    </sheetView>
  </sheetViews>
  <sheetFormatPr defaultRowHeight="13.2" x14ac:dyDescent="0.25"/>
  <cols>
    <col min="1" max="1" width="12.88671875" style="6" bestFit="1" customWidth="1"/>
    <col min="2" max="2" width="11" style="6" customWidth="1"/>
    <col min="3" max="3" width="20" style="3" customWidth="1"/>
    <col min="4" max="4" width="18.77734375" style="63" customWidth="1"/>
    <col min="5" max="5" width="18.77734375" style="3" customWidth="1"/>
    <col min="6" max="6" width="18.21875" customWidth="1"/>
    <col min="7" max="7" width="11.6640625" bestFit="1" customWidth="1"/>
    <col min="8" max="8" width="13.33203125" bestFit="1" customWidth="1"/>
    <col min="9" max="9" width="11.6640625" bestFit="1" customWidth="1"/>
  </cols>
  <sheetData>
    <row r="3" spans="1:7" ht="79.2" customHeight="1" x14ac:dyDescent="0.25">
      <c r="A3" s="84"/>
      <c r="B3" s="83" t="s">
        <v>25</v>
      </c>
      <c r="C3" s="85" t="s">
        <v>1</v>
      </c>
      <c r="D3" s="86" t="s">
        <v>0</v>
      </c>
      <c r="E3" s="82" t="s">
        <v>28</v>
      </c>
      <c r="F3" s="82" t="s">
        <v>3</v>
      </c>
    </row>
    <row r="4" spans="1:7" x14ac:dyDescent="0.25">
      <c r="A4" s="68" t="s">
        <v>47</v>
      </c>
      <c r="B4" s="73">
        <f>Сделки!C5</f>
        <v>43907</v>
      </c>
      <c r="C4" s="41">
        <f>Сделки!I5</f>
        <v>272523.49177600001</v>
      </c>
      <c r="D4" s="41">
        <f>-(Сделки!I3+Сделки!I4+Сделки!J5)</f>
        <v>229971.60051600003</v>
      </c>
      <c r="E4" s="7">
        <f>-'Прочие расходы'!G15</f>
        <v>3551.3504410000005</v>
      </c>
      <c r="F4" s="8">
        <f>C4-D4-E4</f>
        <v>39000.540818999973</v>
      </c>
    </row>
    <row r="5" spans="1:7" x14ac:dyDescent="0.25">
      <c r="A5" s="68" t="s">
        <v>58</v>
      </c>
      <c r="B5" s="73">
        <f>Сделки!C10</f>
        <v>44069</v>
      </c>
      <c r="C5" s="41">
        <f>Сделки!I10</f>
        <v>1082754.5126160001</v>
      </c>
      <c r="D5" s="41">
        <f>-(SUM(Сделки!I6:J9)+Сделки!J10)</f>
        <v>818018.38022500009</v>
      </c>
      <c r="E5" s="7"/>
      <c r="F5" s="8">
        <f>C5-D5-E5</f>
        <v>264736.13239100005</v>
      </c>
    </row>
    <row r="6" spans="1:7" x14ac:dyDescent="0.25">
      <c r="A6" s="68" t="s">
        <v>35</v>
      </c>
      <c r="B6" s="73">
        <f>Сделки!C12</f>
        <v>44061</v>
      </c>
      <c r="C6" s="41">
        <f>Сделки!I12</f>
        <v>2445180.0301239998</v>
      </c>
      <c r="D6" s="41">
        <f>-(Сделки!I11+Сделки!J11+Сделки!J12)</f>
        <v>2521425.7670559995</v>
      </c>
      <c r="E6" s="7"/>
      <c r="F6" s="8">
        <f>C6-D6-E6</f>
        <v>-76245.73693199968</v>
      </c>
    </row>
    <row r="7" spans="1:7" x14ac:dyDescent="0.25">
      <c r="A7" s="5" t="s">
        <v>22</v>
      </c>
      <c r="B7" s="5"/>
      <c r="C7" s="29">
        <f>SUM(C4:C6)</f>
        <v>3800458.0345160002</v>
      </c>
      <c r="D7" s="41">
        <f>SUM(D4:D6)</f>
        <v>3569415.7477969998</v>
      </c>
      <c r="E7" s="29">
        <f>D7+E4</f>
        <v>3572967.0982379997</v>
      </c>
      <c r="F7" s="30">
        <f>SUM(F4:F6)</f>
        <v>227490.93627800036</v>
      </c>
    </row>
    <row r="9" spans="1:7" x14ac:dyDescent="0.25">
      <c r="F9" s="88" t="s">
        <v>12</v>
      </c>
      <c r="G9" s="87">
        <f>ROUND((F7*0.13),0)</f>
        <v>29574</v>
      </c>
    </row>
    <row r="10" spans="1:7" x14ac:dyDescent="0.25">
      <c r="F10" s="9"/>
    </row>
    <row r="11" spans="1:7" x14ac:dyDescent="0.25">
      <c r="D11"/>
    </row>
    <row r="12" spans="1:7" x14ac:dyDescent="0.25">
      <c r="C12" s="79"/>
      <c r="D12"/>
      <c r="E12" s="79"/>
      <c r="F12" s="9"/>
    </row>
    <row r="13" spans="1:7" x14ac:dyDescent="0.25">
      <c r="D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A546-9E12-4E8E-9D69-40F28F2EA5AD}">
  <dimension ref="A1:G15"/>
  <sheetViews>
    <sheetView topLeftCell="A5" workbookViewId="0">
      <selection activeCell="E22" sqref="E22"/>
    </sheetView>
  </sheetViews>
  <sheetFormatPr defaultRowHeight="13.2" x14ac:dyDescent="0.25"/>
  <cols>
    <col min="1" max="1" width="25.44140625" customWidth="1"/>
    <col min="2" max="2" width="10.109375" bestFit="1" customWidth="1"/>
    <col min="3" max="3" width="48.5546875" customWidth="1"/>
    <col min="6" max="6" width="12.44140625" bestFit="1" customWidth="1"/>
  </cols>
  <sheetData>
    <row r="1" spans="1:7" ht="43.2" customHeight="1" x14ac:dyDescent="0.25">
      <c r="A1" s="21"/>
      <c r="B1" s="22" t="s">
        <v>38</v>
      </c>
      <c r="C1" s="21" t="s">
        <v>21</v>
      </c>
      <c r="D1" s="21" t="s">
        <v>19</v>
      </c>
      <c r="E1" s="4" t="s">
        <v>41</v>
      </c>
    </row>
    <row r="2" spans="1:7" ht="15" customHeight="1" x14ac:dyDescent="0.25">
      <c r="A2" s="19" t="s">
        <v>14</v>
      </c>
      <c r="B2" s="24"/>
      <c r="C2" s="21" t="s">
        <v>36</v>
      </c>
      <c r="D2" s="20" t="s">
        <v>37</v>
      </c>
      <c r="E2" s="16">
        <v>0</v>
      </c>
    </row>
    <row r="3" spans="1:7" ht="15" customHeight="1" x14ac:dyDescent="0.25">
      <c r="A3" s="19" t="s">
        <v>14</v>
      </c>
      <c r="B3" s="24"/>
      <c r="C3" s="21" t="s">
        <v>36</v>
      </c>
      <c r="D3" s="20" t="s">
        <v>37</v>
      </c>
      <c r="E3" s="16">
        <v>0</v>
      </c>
    </row>
    <row r="4" spans="1:7" ht="15" customHeight="1" x14ac:dyDescent="0.25">
      <c r="D4" s="1" t="s">
        <v>22</v>
      </c>
      <c r="E4" s="26">
        <f>SUM(E2:E3)</f>
        <v>0</v>
      </c>
    </row>
    <row r="5" spans="1:7" ht="15" customHeight="1" x14ac:dyDescent="0.25"/>
    <row r="6" spans="1:7" ht="15" customHeight="1" x14ac:dyDescent="0.25"/>
    <row r="7" spans="1:7" ht="41.4" customHeight="1" x14ac:dyDescent="0.25">
      <c r="A7" s="80"/>
      <c r="B7" s="80" t="s">
        <v>42</v>
      </c>
      <c r="C7" s="80" t="s">
        <v>43</v>
      </c>
      <c r="D7" s="80" t="s">
        <v>19</v>
      </c>
      <c r="E7" s="80" t="s">
        <v>4</v>
      </c>
      <c r="F7" s="81" t="s">
        <v>20</v>
      </c>
      <c r="G7" s="82" t="s">
        <v>41</v>
      </c>
    </row>
    <row r="8" spans="1:7" ht="15" customHeight="1" x14ac:dyDescent="0.3">
      <c r="A8" s="19" t="s">
        <v>14</v>
      </c>
      <c r="B8" s="62">
        <v>43866</v>
      </c>
      <c r="C8" s="77" t="s">
        <v>57</v>
      </c>
      <c r="D8" s="49" t="s">
        <v>2</v>
      </c>
      <c r="E8" s="13">
        <v>-10</v>
      </c>
      <c r="F8" s="50">
        <v>63.434199999999997</v>
      </c>
      <c r="G8" s="51">
        <f>E8*F8</f>
        <v>-634.34199999999998</v>
      </c>
    </row>
    <row r="9" spans="1:7" ht="15" customHeight="1" x14ac:dyDescent="0.3">
      <c r="A9" s="19" t="s">
        <v>14</v>
      </c>
      <c r="B9" s="62">
        <v>43894</v>
      </c>
      <c r="C9" s="77" t="s">
        <v>57</v>
      </c>
      <c r="D9" s="49" t="s">
        <v>2</v>
      </c>
      <c r="E9" s="13">
        <v>-10</v>
      </c>
      <c r="F9" s="50">
        <v>66.443700000000007</v>
      </c>
      <c r="G9" s="51">
        <f t="shared" ref="G9:G12" si="0">E9*F9</f>
        <v>-664.43700000000013</v>
      </c>
    </row>
    <row r="10" spans="1:7" ht="15" customHeight="1" x14ac:dyDescent="0.3">
      <c r="A10" s="19" t="s">
        <v>14</v>
      </c>
      <c r="B10" s="62">
        <v>43924</v>
      </c>
      <c r="C10" s="77" t="s">
        <v>57</v>
      </c>
      <c r="D10" s="49" t="s">
        <v>2</v>
      </c>
      <c r="E10" s="13">
        <v>-10</v>
      </c>
      <c r="F10" s="50">
        <v>77.732500000000002</v>
      </c>
      <c r="G10" s="51">
        <f t="shared" si="0"/>
        <v>-777.32500000000005</v>
      </c>
    </row>
    <row r="11" spans="1:7" ht="15" customHeight="1" x14ac:dyDescent="0.3">
      <c r="A11" s="19" t="s">
        <v>14</v>
      </c>
      <c r="B11" s="62">
        <v>43956</v>
      </c>
      <c r="C11" s="77" t="s">
        <v>57</v>
      </c>
      <c r="D11" s="49" t="s">
        <v>2</v>
      </c>
      <c r="E11" s="13">
        <v>-9</v>
      </c>
      <c r="F11" s="50">
        <v>72.726299999999995</v>
      </c>
      <c r="G11" s="51">
        <f t="shared" si="0"/>
        <v>-654.5367</v>
      </c>
    </row>
    <row r="12" spans="1:7" ht="15" customHeight="1" x14ac:dyDescent="0.3">
      <c r="A12" s="19" t="s">
        <v>14</v>
      </c>
      <c r="B12" s="62">
        <v>43984</v>
      </c>
      <c r="C12" s="77" t="s">
        <v>57</v>
      </c>
      <c r="D12" s="49" t="s">
        <v>2</v>
      </c>
      <c r="E12" s="13">
        <v>-7.96</v>
      </c>
      <c r="F12" s="50">
        <v>69.711399999999998</v>
      </c>
      <c r="G12" s="51">
        <f t="shared" si="0"/>
        <v>-554.90274399999998</v>
      </c>
    </row>
    <row r="13" spans="1:7" ht="15" customHeight="1" x14ac:dyDescent="0.3">
      <c r="A13" s="19" t="s">
        <v>14</v>
      </c>
      <c r="B13" s="62">
        <v>44014</v>
      </c>
      <c r="C13" s="77" t="s">
        <v>57</v>
      </c>
      <c r="D13" s="49" t="s">
        <v>2</v>
      </c>
      <c r="E13" s="13">
        <v>-1.69</v>
      </c>
      <c r="F13" s="50">
        <v>70.441299999999998</v>
      </c>
      <c r="G13" s="51">
        <f t="shared" ref="G13:G14" si="1">E13*F13</f>
        <v>-119.04579699999999</v>
      </c>
    </row>
    <row r="14" spans="1:7" ht="15" customHeight="1" x14ac:dyDescent="0.3">
      <c r="A14" s="19" t="s">
        <v>14</v>
      </c>
      <c r="B14" s="62">
        <v>44048</v>
      </c>
      <c r="C14" s="77" t="s">
        <v>57</v>
      </c>
      <c r="D14" s="49" t="s">
        <v>2</v>
      </c>
      <c r="E14" s="13">
        <v>-2</v>
      </c>
      <c r="F14" s="50">
        <v>73.380600000000001</v>
      </c>
      <c r="G14" s="51">
        <f t="shared" si="1"/>
        <v>-146.7612</v>
      </c>
    </row>
    <row r="15" spans="1:7" x14ac:dyDescent="0.25">
      <c r="G15" s="52">
        <f>SUM(G8:G14)</f>
        <v>-3551.3504410000005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AD24-F08A-44AD-B8B1-A517AAD051A9}">
  <dimension ref="A1:L23"/>
  <sheetViews>
    <sheetView workbookViewId="0">
      <selection activeCell="C25" sqref="C25"/>
    </sheetView>
  </sheetViews>
  <sheetFormatPr defaultRowHeight="13.2" x14ac:dyDescent="0.25"/>
  <cols>
    <col min="1" max="1" width="21.21875" style="18" customWidth="1"/>
    <col min="2" max="2" width="10.109375" bestFit="1" customWidth="1"/>
    <col min="3" max="3" width="59.77734375" customWidth="1"/>
    <col min="4" max="4" width="10.109375" customWidth="1"/>
    <col min="6" max="6" width="13" customWidth="1"/>
    <col min="7" max="7" width="15.5546875" customWidth="1"/>
    <col min="8" max="8" width="11.5546875" bestFit="1" customWidth="1"/>
    <col min="12" max="12" width="16.33203125" customWidth="1"/>
  </cols>
  <sheetData>
    <row r="1" spans="1:12" ht="34.799999999999997" customHeight="1" x14ac:dyDescent="0.25">
      <c r="A1" s="80"/>
      <c r="B1" s="82" t="s">
        <v>17</v>
      </c>
      <c r="C1" s="80" t="s">
        <v>18</v>
      </c>
      <c r="D1" s="80" t="s">
        <v>19</v>
      </c>
      <c r="E1" s="80" t="s">
        <v>4</v>
      </c>
      <c r="F1" s="81" t="s">
        <v>20</v>
      </c>
      <c r="G1" s="82" t="s">
        <v>23</v>
      </c>
      <c r="H1" s="80" t="s">
        <v>12</v>
      </c>
    </row>
    <row r="2" spans="1:12" ht="26.4" x14ac:dyDescent="0.25">
      <c r="A2" s="19" t="s">
        <v>14</v>
      </c>
      <c r="B2" s="47">
        <v>43897</v>
      </c>
      <c r="C2" s="42" t="s">
        <v>16</v>
      </c>
      <c r="D2" s="20" t="s">
        <v>2</v>
      </c>
      <c r="E2" s="27">
        <v>24.38</v>
      </c>
      <c r="F2" s="25">
        <v>67.517499999999998</v>
      </c>
      <c r="G2" s="27">
        <f t="shared" ref="G2" si="0">E2*F2</f>
        <v>1646.07665</v>
      </c>
      <c r="H2" s="27">
        <f t="shared" ref="H2:H4" si="1">0.13*G2</f>
        <v>213.98996450000001</v>
      </c>
    </row>
    <row r="3" spans="1:12" ht="26.4" x14ac:dyDescent="0.25">
      <c r="A3" s="19" t="s">
        <v>14</v>
      </c>
      <c r="B3" s="47">
        <v>43920</v>
      </c>
      <c r="C3" s="42" t="s">
        <v>16</v>
      </c>
      <c r="D3" s="20" t="s">
        <v>2</v>
      </c>
      <c r="E3" s="27">
        <v>31.87</v>
      </c>
      <c r="F3" s="25">
        <v>77.732500000000002</v>
      </c>
      <c r="G3" s="27">
        <f t="shared" ref="G3" si="2">E3*F3</f>
        <v>2477.3347750000003</v>
      </c>
      <c r="H3" s="27">
        <f t="shared" ref="H3" si="3">0.13*G3</f>
        <v>322.05352075000002</v>
      </c>
    </row>
    <row r="4" spans="1:12" ht="26.4" x14ac:dyDescent="0.25">
      <c r="A4" s="19" t="s">
        <v>14</v>
      </c>
      <c r="B4" s="43">
        <v>43920</v>
      </c>
      <c r="C4" s="42" t="s">
        <v>16</v>
      </c>
      <c r="D4" s="20" t="s">
        <v>2</v>
      </c>
      <c r="E4" s="27">
        <v>8.9700000000000006</v>
      </c>
      <c r="F4" s="25">
        <v>77.732500000000002</v>
      </c>
      <c r="G4" s="27">
        <f>E4*F4</f>
        <v>697.26052500000003</v>
      </c>
      <c r="H4" s="27">
        <f t="shared" si="1"/>
        <v>90.643868250000011</v>
      </c>
      <c r="L4" s="9"/>
    </row>
    <row r="5" spans="1:12" x14ac:dyDescent="0.25">
      <c r="A5"/>
      <c r="F5" s="1" t="s">
        <v>22</v>
      </c>
      <c r="G5" s="28">
        <f>SUM(G2:G4)</f>
        <v>4820.6719499999999</v>
      </c>
      <c r="H5" s="32">
        <f>ROUND(SUM(H2:H4),0)</f>
        <v>627</v>
      </c>
    </row>
    <row r="6" spans="1:12" x14ac:dyDescent="0.25">
      <c r="B6" s="18"/>
      <c r="C6" s="18"/>
      <c r="D6" s="18"/>
      <c r="E6" s="18"/>
      <c r="F6" s="18"/>
      <c r="G6" s="18"/>
      <c r="H6" s="18"/>
    </row>
    <row r="7" spans="1:12" x14ac:dyDescent="0.25">
      <c r="B7" s="18"/>
      <c r="C7" s="18"/>
      <c r="D7" s="18"/>
      <c r="E7" s="18"/>
      <c r="F7" s="18"/>
      <c r="L7" s="9"/>
    </row>
    <row r="8" spans="1:12" x14ac:dyDescent="0.25">
      <c r="B8" s="18"/>
      <c r="C8" s="18"/>
      <c r="D8" s="18"/>
      <c r="E8" s="18"/>
      <c r="F8" s="18"/>
    </row>
    <row r="9" spans="1:12" x14ac:dyDescent="0.25">
      <c r="B9" s="18"/>
      <c r="C9" s="18"/>
      <c r="D9" s="18"/>
      <c r="E9" s="18"/>
      <c r="F9" s="18"/>
      <c r="G9" s="18"/>
      <c r="H9" s="18"/>
    </row>
    <row r="10" spans="1:12" x14ac:dyDescent="0.25">
      <c r="B10" s="18"/>
      <c r="C10" s="18"/>
      <c r="D10" s="18"/>
      <c r="E10" s="18"/>
      <c r="F10" s="18"/>
      <c r="G10" s="18"/>
      <c r="H10" s="18"/>
      <c r="L10" s="9"/>
    </row>
    <row r="11" spans="1:12" x14ac:dyDescent="0.25">
      <c r="B11" s="18"/>
      <c r="C11" s="18"/>
      <c r="D11" s="18"/>
      <c r="E11" s="18"/>
      <c r="F11" s="18"/>
      <c r="G11" s="18"/>
      <c r="H11" s="18"/>
    </row>
    <row r="12" spans="1:12" x14ac:dyDescent="0.25">
      <c r="B12" s="18"/>
      <c r="C12" s="18"/>
      <c r="D12" s="18"/>
      <c r="E12" s="18"/>
      <c r="F12" s="18"/>
      <c r="G12" s="18"/>
      <c r="H12" s="18"/>
    </row>
    <row r="13" spans="1:12" x14ac:dyDescent="0.25">
      <c r="B13" s="18"/>
      <c r="C13" s="18"/>
      <c r="D13" s="18"/>
      <c r="E13" s="18"/>
      <c r="F13" s="18"/>
      <c r="G13" s="18"/>
      <c r="H13" s="18"/>
      <c r="L13" s="9"/>
    </row>
    <row r="14" spans="1:12" x14ac:dyDescent="0.25">
      <c r="B14" s="18"/>
      <c r="C14" s="18"/>
      <c r="D14" s="18"/>
      <c r="E14" s="18"/>
      <c r="F14" s="18"/>
      <c r="G14" s="18"/>
      <c r="H14" s="18"/>
    </row>
    <row r="15" spans="1:12" x14ac:dyDescent="0.25">
      <c r="B15" s="18"/>
      <c r="C15" s="18"/>
      <c r="D15" s="18"/>
      <c r="E15" s="18"/>
      <c r="F15" s="18"/>
      <c r="G15" s="18"/>
      <c r="H15" s="18"/>
    </row>
    <row r="16" spans="1:12" x14ac:dyDescent="0.25">
      <c r="B16" s="18"/>
      <c r="C16" s="18"/>
      <c r="D16" s="18"/>
      <c r="E16" s="18"/>
      <c r="F16" s="18"/>
      <c r="G16" s="18"/>
      <c r="H16" s="18"/>
    </row>
    <row r="17" spans="2:8" x14ac:dyDescent="0.25">
      <c r="B17" s="18"/>
      <c r="C17" s="18"/>
      <c r="D17" s="18"/>
      <c r="E17" s="18"/>
      <c r="F17" s="18"/>
      <c r="G17" s="18"/>
      <c r="H17" s="18"/>
    </row>
    <row r="18" spans="2:8" x14ac:dyDescent="0.25">
      <c r="B18" s="18"/>
      <c r="C18" s="18"/>
      <c r="D18" s="18"/>
      <c r="E18" s="18"/>
      <c r="F18" s="18"/>
      <c r="G18" s="18"/>
      <c r="H18" s="18"/>
    </row>
    <row r="19" spans="2:8" x14ac:dyDescent="0.25">
      <c r="B19" s="18"/>
      <c r="C19" s="18"/>
      <c r="D19" s="18"/>
      <c r="E19" s="18"/>
      <c r="F19" s="18"/>
      <c r="G19" s="18"/>
      <c r="H19" s="18"/>
    </row>
    <row r="20" spans="2:8" x14ac:dyDescent="0.25">
      <c r="B20" s="18"/>
      <c r="C20" s="18"/>
      <c r="D20" s="18"/>
      <c r="E20" s="18"/>
      <c r="F20" s="18"/>
      <c r="G20" s="18"/>
      <c r="H20" s="18"/>
    </row>
    <row r="21" spans="2:8" ht="22.8" customHeight="1" x14ac:dyDescent="0.25">
      <c r="B21" s="18"/>
      <c r="C21" s="18"/>
      <c r="D21" s="18"/>
      <c r="E21" s="18"/>
      <c r="F21" s="18"/>
      <c r="G21" s="18"/>
      <c r="H21" s="18"/>
    </row>
    <row r="22" spans="2:8" x14ac:dyDescent="0.25">
      <c r="B22" s="18"/>
      <c r="C22" s="18"/>
      <c r="D22" s="18"/>
      <c r="E22" s="18"/>
      <c r="F22" s="18"/>
      <c r="G22" s="18"/>
      <c r="H22" s="18"/>
    </row>
    <row r="23" spans="2:8" x14ac:dyDescent="0.25">
      <c r="B23" s="18"/>
      <c r="C23" s="18"/>
      <c r="D23" s="18"/>
      <c r="E23" s="18"/>
      <c r="F23" s="18"/>
      <c r="G23" s="18"/>
      <c r="H23" s="18"/>
    </row>
  </sheetData>
  <sortState xmlns:xlrd2="http://schemas.microsoft.com/office/spreadsheetml/2017/richdata2" ref="A2:H21">
    <sortCondition ref="C2:C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F365-4DD6-40A4-96F4-14AE17F055E2}">
  <dimension ref="B3:L9"/>
  <sheetViews>
    <sheetView topLeftCell="B1" workbookViewId="0">
      <selection activeCell="G15" sqref="G15"/>
    </sheetView>
  </sheetViews>
  <sheetFormatPr defaultRowHeight="14.4" x14ac:dyDescent="0.3"/>
  <cols>
    <col min="1" max="1" width="8.88671875" style="11"/>
    <col min="2" max="2" width="17.33203125" style="55" customWidth="1"/>
    <col min="3" max="3" width="18.109375" style="11" customWidth="1"/>
    <col min="4" max="4" width="31.109375" style="11" customWidth="1"/>
    <col min="5" max="5" width="16.6640625" style="53" customWidth="1"/>
    <col min="6" max="6" width="17.33203125" style="55" customWidth="1"/>
    <col min="7" max="7" width="19.88671875" style="55" customWidth="1"/>
    <col min="8" max="8" width="20.109375" style="11" customWidth="1"/>
    <col min="9" max="9" width="17.109375" style="11" customWidth="1"/>
    <col min="10" max="10" width="16.88671875" style="11" customWidth="1"/>
    <col min="11" max="11" width="15.109375" style="11" customWidth="1"/>
    <col min="12" max="12" width="16.88671875" style="11" customWidth="1"/>
    <col min="13" max="16384" width="8.88671875" style="11"/>
  </cols>
  <sheetData>
    <row r="3" spans="2:12" ht="55.2" x14ac:dyDescent="0.3">
      <c r="B3" s="10" t="s">
        <v>59</v>
      </c>
      <c r="C3" s="10" t="s">
        <v>60</v>
      </c>
      <c r="D3" s="10" t="s">
        <v>61</v>
      </c>
      <c r="E3" s="23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2:12" s="15" customFormat="1" ht="30" customHeight="1" x14ac:dyDescent="0.3">
      <c r="B4" s="77" t="s">
        <v>44</v>
      </c>
      <c r="C4" s="48" t="s">
        <v>46</v>
      </c>
      <c r="D4" s="12" t="s">
        <v>45</v>
      </c>
      <c r="E4" s="78">
        <v>43896</v>
      </c>
      <c r="F4" s="54">
        <v>4.6500000000000004</v>
      </c>
      <c r="G4" s="54">
        <v>0.47</v>
      </c>
      <c r="H4" s="13">
        <v>66.185400000000001</v>
      </c>
      <c r="I4" s="14">
        <f>F4*H4</f>
        <v>307.76211000000001</v>
      </c>
      <c r="J4" s="14">
        <f>G4*H4</f>
        <v>31.107137999999999</v>
      </c>
      <c r="K4" s="14">
        <f t="shared" ref="K4:K8" si="0">I4*13%</f>
        <v>40.009074300000002</v>
      </c>
      <c r="L4" s="14">
        <f t="shared" ref="L4:L8" si="1">K4-J4</f>
        <v>8.9019363000000027</v>
      </c>
    </row>
    <row r="5" spans="2:12" s="15" customFormat="1" ht="30" customHeight="1" x14ac:dyDescent="0.3">
      <c r="B5" s="77" t="s">
        <v>34</v>
      </c>
      <c r="C5" s="48" t="s">
        <v>39</v>
      </c>
      <c r="D5" s="12" t="s">
        <v>40</v>
      </c>
      <c r="E5" s="78">
        <v>43896</v>
      </c>
      <c r="F5" s="54">
        <v>23.09</v>
      </c>
      <c r="G5" s="54">
        <v>2.31</v>
      </c>
      <c r="H5" s="13">
        <v>66.185400000000001</v>
      </c>
      <c r="I5" s="14">
        <f t="shared" ref="I5:I8" si="2">F5*H5</f>
        <v>1528.2208860000001</v>
      </c>
      <c r="J5" s="14">
        <f t="shared" ref="J5:J8" si="3">G5*H5</f>
        <v>152.888274</v>
      </c>
      <c r="K5" s="14">
        <f t="shared" si="0"/>
        <v>198.66871518000002</v>
      </c>
      <c r="L5" s="14">
        <f t="shared" si="1"/>
        <v>45.780441180000025</v>
      </c>
    </row>
    <row r="6" spans="2:12" s="15" customFormat="1" ht="30" customHeight="1" x14ac:dyDescent="0.3">
      <c r="B6" s="77" t="s">
        <v>48</v>
      </c>
      <c r="C6" s="48" t="s">
        <v>49</v>
      </c>
      <c r="D6" s="12" t="s">
        <v>50</v>
      </c>
      <c r="E6" s="78">
        <v>43902</v>
      </c>
      <c r="F6" s="54">
        <v>50.8</v>
      </c>
      <c r="G6" s="54">
        <v>5.08</v>
      </c>
      <c r="H6" s="13">
        <v>71.471999999999994</v>
      </c>
      <c r="I6" s="14">
        <f t="shared" si="2"/>
        <v>3630.7775999999994</v>
      </c>
      <c r="J6" s="14">
        <f t="shared" si="3"/>
        <v>363.07775999999996</v>
      </c>
      <c r="K6" s="14">
        <f t="shared" si="0"/>
        <v>472.00108799999992</v>
      </c>
      <c r="L6" s="14">
        <f t="shared" si="1"/>
        <v>108.92332799999997</v>
      </c>
    </row>
    <row r="7" spans="2:12" s="15" customFormat="1" ht="30" customHeight="1" x14ac:dyDescent="0.3">
      <c r="B7" s="77" t="s">
        <v>52</v>
      </c>
      <c r="C7" s="48" t="s">
        <v>53</v>
      </c>
      <c r="D7" s="12" t="s">
        <v>56</v>
      </c>
      <c r="E7" s="78">
        <v>43957</v>
      </c>
      <c r="F7" s="54">
        <v>175.4</v>
      </c>
      <c r="G7" s="54">
        <v>17.54</v>
      </c>
      <c r="H7" s="13">
        <v>72.726299999999995</v>
      </c>
      <c r="I7" s="14">
        <f t="shared" si="2"/>
        <v>12756.193019999999</v>
      </c>
      <c r="J7" s="14">
        <f t="shared" si="3"/>
        <v>1275.6193019999998</v>
      </c>
      <c r="K7" s="14">
        <f t="shared" si="0"/>
        <v>1658.3050925999999</v>
      </c>
      <c r="L7" s="14">
        <f t="shared" si="1"/>
        <v>382.68579060000002</v>
      </c>
    </row>
    <row r="8" spans="2:12" s="15" customFormat="1" ht="30" customHeight="1" x14ac:dyDescent="0.3">
      <c r="B8" s="77" t="s">
        <v>51</v>
      </c>
      <c r="C8" s="48" t="s">
        <v>54</v>
      </c>
      <c r="D8" s="12" t="s">
        <v>55</v>
      </c>
      <c r="E8" s="78">
        <v>43987</v>
      </c>
      <c r="F8" s="54">
        <v>68.73</v>
      </c>
      <c r="G8" s="54">
        <v>6.87</v>
      </c>
      <c r="H8" s="13">
        <v>69.015100000000004</v>
      </c>
      <c r="I8" s="14">
        <f t="shared" si="2"/>
        <v>4743.4078230000005</v>
      </c>
      <c r="J8" s="14">
        <f t="shared" si="3"/>
        <v>474.13373700000005</v>
      </c>
      <c r="K8" s="14">
        <f t="shared" si="0"/>
        <v>616.64301699000009</v>
      </c>
      <c r="L8" s="14">
        <f t="shared" si="1"/>
        <v>142.50927999000004</v>
      </c>
    </row>
    <row r="9" spans="2:12" x14ac:dyDescent="0.3">
      <c r="F9" s="31">
        <f>SUM(F4:F8)</f>
        <v>322.67</v>
      </c>
      <c r="G9" s="31">
        <f>SUM(G4:G8)</f>
        <v>32.269999999999996</v>
      </c>
      <c r="H9" s="17" t="s">
        <v>15</v>
      </c>
      <c r="I9" s="31">
        <f>SUM(I4:I8)</f>
        <v>22966.361439</v>
      </c>
      <c r="J9" s="31">
        <f>ROUND(SUM(J4:J8),0)</f>
        <v>2297</v>
      </c>
      <c r="K9" s="31">
        <f>ROUND(I9*13%,0)</f>
        <v>2986</v>
      </c>
      <c r="L9" s="31">
        <f>ROUND(K9-J9,0)</f>
        <v>689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AF20-CCEB-4572-A814-A2F814B39E54}">
  <dimension ref="C2:L18"/>
  <sheetViews>
    <sheetView workbookViewId="0">
      <selection activeCell="F13" sqref="F13"/>
    </sheetView>
  </sheetViews>
  <sheetFormatPr defaultRowHeight="14.4" x14ac:dyDescent="0.3"/>
  <cols>
    <col min="1" max="1" width="8.88671875" style="11"/>
    <col min="2" max="2" width="6.6640625" style="11" customWidth="1"/>
    <col min="3" max="3" width="20.88671875" style="11" customWidth="1"/>
    <col min="4" max="4" width="24.109375" style="11" customWidth="1"/>
    <col min="5" max="5" width="16.6640625" style="11" customWidth="1"/>
    <col min="6" max="6" width="17.33203125" style="11" customWidth="1"/>
    <col min="7" max="7" width="19.88671875" style="11" customWidth="1"/>
    <col min="8" max="8" width="20.109375" style="11" customWidth="1"/>
    <col min="9" max="9" width="17.109375" style="11" customWidth="1"/>
    <col min="10" max="10" width="16.88671875" style="11" customWidth="1"/>
    <col min="11" max="11" width="15.109375" style="11" customWidth="1"/>
    <col min="12" max="12" width="16.88671875" style="11" customWidth="1"/>
    <col min="13" max="16384" width="8.88671875" style="11"/>
  </cols>
  <sheetData>
    <row r="2" spans="3:12" x14ac:dyDescent="0.3">
      <c r="C2" s="95" t="s">
        <v>76</v>
      </c>
    </row>
    <row r="3" spans="3:12" ht="55.2" x14ac:dyDescent="0.3">
      <c r="C3" s="10" t="s">
        <v>62</v>
      </c>
      <c r="D3" s="10" t="s">
        <v>5</v>
      </c>
      <c r="E3" s="10" t="s">
        <v>6</v>
      </c>
      <c r="F3" s="10" t="s">
        <v>7</v>
      </c>
      <c r="G3" s="10" t="s">
        <v>63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3:12" s="15" customFormat="1" ht="30" customHeight="1" x14ac:dyDescent="0.3">
      <c r="C4" s="54" t="s">
        <v>64</v>
      </c>
      <c r="D4" s="12" t="s">
        <v>65</v>
      </c>
      <c r="E4" s="89">
        <v>43868</v>
      </c>
      <c r="F4" s="90">
        <v>1.1206</v>
      </c>
      <c r="G4" s="90">
        <v>0.11206000000000001</v>
      </c>
      <c r="H4" s="13">
        <v>67.517499999999998</v>
      </c>
      <c r="I4" s="14">
        <f t="shared" ref="I4:I6" si="0">F4*H4</f>
        <v>75.660110500000002</v>
      </c>
      <c r="J4" s="14">
        <f t="shared" ref="J4:J5" si="1">G4*H4</f>
        <v>7.5660110500000002</v>
      </c>
      <c r="K4" s="14">
        <f t="shared" ref="K4:K5" si="2">I4*13%</f>
        <v>9.8358143650000009</v>
      </c>
      <c r="L4" s="14">
        <f>K4-J4</f>
        <v>2.2698033150000008</v>
      </c>
    </row>
    <row r="5" spans="3:12" s="15" customFormat="1" ht="28.8" x14ac:dyDescent="0.3">
      <c r="C5" s="54" t="s">
        <v>66</v>
      </c>
      <c r="D5" s="12" t="s">
        <v>65</v>
      </c>
      <c r="E5" s="89">
        <v>43897</v>
      </c>
      <c r="F5" s="90">
        <v>11.142999999999999</v>
      </c>
      <c r="G5" s="91">
        <v>0.15679999999999999</v>
      </c>
      <c r="H5" s="13">
        <v>67.517499999999998</v>
      </c>
      <c r="I5" s="14">
        <f t="shared" si="0"/>
        <v>752.34750249999991</v>
      </c>
      <c r="J5" s="14">
        <f t="shared" si="1"/>
        <v>10.586743999999999</v>
      </c>
      <c r="K5" s="14">
        <f t="shared" si="2"/>
        <v>97.805175324999993</v>
      </c>
      <c r="L5" s="14">
        <f>K5-J5</f>
        <v>87.218431324999997</v>
      </c>
    </row>
    <row r="6" spans="3:12" s="15" customFormat="1" ht="28.8" x14ac:dyDescent="0.3">
      <c r="C6" s="54" t="s">
        <v>66</v>
      </c>
      <c r="D6" s="12" t="s">
        <v>65</v>
      </c>
      <c r="E6" s="89">
        <v>43926</v>
      </c>
      <c r="F6" s="90">
        <v>10.938000000000001</v>
      </c>
      <c r="G6" s="91">
        <v>0.14130000000000001</v>
      </c>
      <c r="H6" s="13">
        <v>77.732500000000002</v>
      </c>
      <c r="I6" s="14">
        <f t="shared" si="0"/>
        <v>850.23808500000007</v>
      </c>
      <c r="J6" s="14">
        <f>G6*H6</f>
        <v>10.983602250000001</v>
      </c>
      <c r="K6" s="14">
        <f>I6*13%</f>
        <v>110.53095105000001</v>
      </c>
      <c r="L6" s="14">
        <f>K6-J6</f>
        <v>99.547348800000009</v>
      </c>
    </row>
    <row r="7" spans="3:12" s="15" customFormat="1" x14ac:dyDescent="0.3">
      <c r="C7" s="54"/>
      <c r="D7" s="12"/>
      <c r="E7" s="89"/>
      <c r="F7" s="90"/>
      <c r="G7" s="91"/>
      <c r="H7" s="13"/>
      <c r="I7" s="14"/>
      <c r="J7" s="14"/>
      <c r="K7" s="14"/>
      <c r="L7" s="14"/>
    </row>
    <row r="8" spans="3:12" ht="23.4" customHeight="1" x14ac:dyDescent="0.35">
      <c r="I8" s="92"/>
      <c r="J8" s="92"/>
      <c r="K8" s="92"/>
      <c r="L8" s="93"/>
    </row>
    <row r="9" spans="3:12" x14ac:dyDescent="0.3">
      <c r="C9" s="96" t="s">
        <v>72</v>
      </c>
      <c r="D9" s="96"/>
      <c r="E9" s="96"/>
      <c r="F9" s="96"/>
      <c r="I9" s="94"/>
      <c r="J9" s="94"/>
      <c r="K9" s="94"/>
      <c r="L9" s="94"/>
    </row>
    <row r="10" spans="3:12" ht="96.6" x14ac:dyDescent="0.3">
      <c r="C10" s="10" t="s">
        <v>62</v>
      </c>
      <c r="D10" s="10" t="s">
        <v>5</v>
      </c>
      <c r="E10" s="10" t="s">
        <v>6</v>
      </c>
      <c r="F10" s="10" t="s">
        <v>7</v>
      </c>
      <c r="G10" s="10" t="s">
        <v>73</v>
      </c>
      <c r="H10" s="10" t="s">
        <v>74</v>
      </c>
    </row>
    <row r="11" spans="3:12" ht="28.8" x14ac:dyDescent="0.3">
      <c r="C11" s="54" t="s">
        <v>75</v>
      </c>
      <c r="D11" s="12" t="s">
        <v>65</v>
      </c>
      <c r="E11" s="89">
        <v>43897</v>
      </c>
      <c r="F11" s="90">
        <v>11.143000000000001</v>
      </c>
      <c r="G11" s="90">
        <v>1.1143000000000001</v>
      </c>
      <c r="H11" s="91">
        <v>0.15679999999999999</v>
      </c>
    </row>
    <row r="12" spans="3:12" ht="28.8" x14ac:dyDescent="0.3">
      <c r="C12" s="54" t="s">
        <v>75</v>
      </c>
      <c r="D12" s="12" t="s">
        <v>65</v>
      </c>
      <c r="E12" s="89">
        <v>43926</v>
      </c>
      <c r="F12" s="90">
        <v>10.938000000000001</v>
      </c>
      <c r="G12" s="90">
        <v>1.0938000000000001</v>
      </c>
      <c r="H12" s="91">
        <v>0.14130000000000001</v>
      </c>
    </row>
    <row r="13" spans="3:12" ht="28.8" x14ac:dyDescent="0.3">
      <c r="C13" s="54" t="s">
        <v>75</v>
      </c>
      <c r="D13" s="12" t="s">
        <v>65</v>
      </c>
      <c r="E13" s="89">
        <v>43958</v>
      </c>
      <c r="F13" s="90">
        <v>10.870799999999999</v>
      </c>
      <c r="G13" s="90">
        <v>1.0871</v>
      </c>
      <c r="H13" s="91">
        <v>0.14000000000000001</v>
      </c>
    </row>
    <row r="16" spans="3:12" x14ac:dyDescent="0.3">
      <c r="C16" s="95" t="s">
        <v>77</v>
      </c>
      <c r="D16" s="12"/>
      <c r="E16" s="89"/>
      <c r="F16" s="90"/>
      <c r="G16" s="91"/>
      <c r="H16" s="13"/>
      <c r="I16" s="14"/>
      <c r="J16" s="14"/>
      <c r="K16" s="14"/>
      <c r="L16" s="14"/>
    </row>
    <row r="17" spans="3:12" ht="41.4" x14ac:dyDescent="0.3">
      <c r="C17" s="10"/>
      <c r="D17" s="10" t="s">
        <v>67</v>
      </c>
      <c r="E17" s="10" t="s">
        <v>68</v>
      </c>
      <c r="F17" s="10" t="s">
        <v>69</v>
      </c>
      <c r="G17" s="10" t="s">
        <v>63</v>
      </c>
      <c r="H17" s="10" t="s">
        <v>9</v>
      </c>
      <c r="I17" s="10" t="s">
        <v>70</v>
      </c>
      <c r="J17" s="10" t="s">
        <v>11</v>
      </c>
      <c r="K17" s="10" t="s">
        <v>12</v>
      </c>
      <c r="L17" s="10" t="s">
        <v>13</v>
      </c>
    </row>
    <row r="18" spans="3:12" ht="43.2" x14ac:dyDescent="0.3">
      <c r="C18" s="54"/>
      <c r="D18" s="12" t="s">
        <v>71</v>
      </c>
      <c r="E18" s="89">
        <v>43831</v>
      </c>
      <c r="F18" s="13">
        <v>5.1824000000000003</v>
      </c>
      <c r="G18" s="13">
        <v>0</v>
      </c>
      <c r="H18" s="13">
        <v>61.905700000000003</v>
      </c>
      <c r="I18" s="14">
        <f>F18*H18</f>
        <v>320.82009968000006</v>
      </c>
      <c r="J18" s="14">
        <f>G18*H18</f>
        <v>0</v>
      </c>
      <c r="K18" s="14">
        <f>I18*13%</f>
        <v>41.706612958400008</v>
      </c>
      <c r="L18" s="14">
        <f>K18-J18</f>
        <v>41.706612958400008</v>
      </c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Сделки</vt:lpstr>
      <vt:lpstr>Итоги сделок</vt:lpstr>
      <vt:lpstr>Прочие расходы</vt:lpstr>
      <vt:lpstr>Прочие доходы</vt:lpstr>
      <vt:lpstr>Расчет дивидендов</vt:lpstr>
      <vt:lpstr>Корректировка налога дивиденды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Галочка</dc:creator>
  <cp:lastModifiedBy>gluck</cp:lastModifiedBy>
  <dcterms:created xsi:type="dcterms:W3CDTF">2021-03-04T09:07:11Z</dcterms:created>
  <dcterms:modified xsi:type="dcterms:W3CDTF">2021-03-30T11:07:45Z</dcterms:modified>
</cp:coreProperties>
</file>